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# GLOBAL\Documents\# MY PUBLICATIONS\# My articles\CALCs-Special\"/>
    </mc:Choice>
  </mc:AlternateContent>
  <bookViews>
    <workbookView xWindow="108" yWindow="84" windowWidth="24900" windowHeight="10608"/>
  </bookViews>
  <sheets>
    <sheet name="Quarter-wave calculator" sheetId="1" r:id="rId1"/>
  </sheets>
  <calcPr calcId="171027"/>
</workbook>
</file>

<file path=xl/calcChain.xml><?xml version="1.0" encoding="utf-8"?>
<calcChain xmlns="http://schemas.openxmlformats.org/spreadsheetml/2006/main">
  <c r="Q37" i="1" l="1"/>
  <c r="Q36" i="1"/>
  <c r="E11" i="1"/>
  <c r="L10" i="1"/>
  <c r="L11" i="1" s="1"/>
  <c r="L12" i="1" s="1"/>
  <c r="L9" i="1"/>
  <c r="E8" i="1"/>
  <c r="O31" i="1" l="1"/>
  <c r="P31" i="1" s="1"/>
  <c r="Q31" i="1" s="1"/>
  <c r="R31" i="1" s="1"/>
  <c r="S31" i="1" s="1"/>
  <c r="T31" i="1" s="1"/>
  <c r="U31" i="1" s="1"/>
  <c r="V31" i="1" s="1"/>
  <c r="W31" i="1" s="1"/>
  <c r="X31" i="1" s="1"/>
  <c r="O17" i="1"/>
  <c r="L16" i="1"/>
  <c r="L17" i="1" s="1"/>
  <c r="O16" i="1"/>
  <c r="O9" i="1"/>
  <c r="O32" i="1"/>
  <c r="P32" i="1" s="1"/>
  <c r="Q32" i="1" s="1"/>
  <c r="R32" i="1" s="1"/>
  <c r="S32" i="1" s="1"/>
  <c r="T32" i="1" s="1"/>
  <c r="U32" i="1" s="1"/>
  <c r="V32" i="1" s="1"/>
  <c r="W32" i="1" s="1"/>
  <c r="X32" i="1" s="1"/>
  <c r="W16" i="1" l="1"/>
  <c r="W17" i="1" s="1"/>
  <c r="V16" i="1"/>
  <c r="V17" i="1" s="1"/>
  <c r="R16" i="1"/>
  <c r="R17" i="1" s="1"/>
  <c r="U16" i="1"/>
  <c r="U17" i="1" s="1"/>
  <c r="Q16" i="1"/>
  <c r="Q17" i="1" s="1"/>
  <c r="T16" i="1"/>
  <c r="T17" i="1" s="1"/>
  <c r="P16" i="1"/>
  <c r="P17" i="1" s="1"/>
  <c r="S16" i="1"/>
  <c r="S17" i="1" s="1"/>
  <c r="X16" i="1"/>
  <c r="X17" i="1" s="1"/>
  <c r="U24" i="1"/>
  <c r="Q24" i="1"/>
  <c r="U9" i="1"/>
  <c r="Q9" i="1"/>
  <c r="V24" i="1"/>
  <c r="V9" i="1"/>
  <c r="R9" i="1"/>
  <c r="X24" i="1"/>
  <c r="T24" i="1"/>
  <c r="P24" i="1"/>
  <c r="X9" i="1"/>
  <c r="T9" i="1"/>
  <c r="P9" i="1"/>
  <c r="W9" i="1"/>
  <c r="S9" i="1"/>
  <c r="R24" i="1"/>
  <c r="W24" i="1"/>
  <c r="S24" i="1"/>
  <c r="O24" i="1"/>
</calcChain>
</file>

<file path=xl/sharedStrings.xml><?xml version="1.0" encoding="utf-8"?>
<sst xmlns="http://schemas.openxmlformats.org/spreadsheetml/2006/main" count="83" uniqueCount="45">
  <si>
    <t>Quarter  Wave  Length's  Calculator</t>
  </si>
  <si>
    <t>1/4  wave impedance transformer calculator</t>
  </si>
  <si>
    <r>
      <t xml:space="preserve">Enter the  </t>
    </r>
    <r>
      <rPr>
        <b/>
        <sz val="12"/>
        <color indexed="10"/>
        <rFont val="Calibri"/>
        <family val="2"/>
      </rPr>
      <t>Ԑr effective</t>
    </r>
    <r>
      <rPr>
        <b/>
        <sz val="12"/>
        <rFont val="Calibri"/>
        <family val="2"/>
      </rPr>
      <t xml:space="preserve">   &gt;</t>
    </r>
  </si>
  <si>
    <t>Ԑr eff</t>
  </si>
  <si>
    <t>The resonant frequencies. The worst case of S11. (GHz)</t>
  </si>
  <si>
    <r>
      <t xml:space="preserve">   Enter </t>
    </r>
    <r>
      <rPr>
        <b/>
        <sz val="12"/>
        <color rgb="FFFF0000"/>
        <rFont val="Calibri"/>
        <family val="2"/>
        <scheme val="minor"/>
      </rPr>
      <t>Rz Load</t>
    </r>
    <r>
      <rPr>
        <b/>
        <sz val="12"/>
        <color indexed="8"/>
        <rFont val="Calibri"/>
        <family val="2"/>
      </rPr>
      <t xml:space="preserve"> &gt;</t>
    </r>
  </si>
  <si>
    <t>Ohms</t>
  </si>
  <si>
    <t>Number of the resonance frequencies:</t>
  </si>
  <si>
    <r>
      <t xml:space="preserve">   Enter </t>
    </r>
    <r>
      <rPr>
        <b/>
        <sz val="12"/>
        <color rgb="FFFF0000"/>
        <rFont val="Calibri"/>
        <family val="2"/>
        <scheme val="minor"/>
      </rPr>
      <t>Rz Line</t>
    </r>
    <r>
      <rPr>
        <b/>
        <sz val="12"/>
        <color rgb="FFFF000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&gt;</t>
    </r>
  </si>
  <si>
    <r>
      <t xml:space="preserve">Enter the PCB line </t>
    </r>
    <r>
      <rPr>
        <b/>
        <sz val="12"/>
        <color indexed="10"/>
        <rFont val="Calibri"/>
        <family val="2"/>
      </rPr>
      <t xml:space="preserve"> Lendth</t>
    </r>
    <r>
      <rPr>
        <b/>
        <sz val="12"/>
        <rFont val="Calibri"/>
        <family val="2"/>
      </rPr>
      <t xml:space="preserve">   &gt;</t>
    </r>
  </si>
  <si>
    <t>MILs</t>
  </si>
  <si>
    <t>First</t>
  </si>
  <si>
    <t>Second</t>
  </si>
  <si>
    <t>Third</t>
  </si>
  <si>
    <t>Fourth</t>
  </si>
  <si>
    <t>Fifth</t>
  </si>
  <si>
    <t>Sixth</t>
  </si>
  <si>
    <t>Seventh</t>
  </si>
  <si>
    <t>Eighth</t>
  </si>
  <si>
    <t xml:space="preserve">Ninth </t>
  </si>
  <si>
    <t>Tenth</t>
  </si>
  <si>
    <r>
      <rPr>
        <b/>
        <sz val="12"/>
        <color rgb="FFFF0000"/>
        <rFont val="Calibri"/>
        <family val="2"/>
        <scheme val="minor"/>
      </rPr>
      <t xml:space="preserve">   Rz</t>
    </r>
    <r>
      <rPr>
        <b/>
        <sz val="12"/>
        <color theme="1"/>
        <rFont val="Calibri"/>
        <family val="2"/>
        <scheme val="minor"/>
      </rPr>
      <t xml:space="preserve"> Input is:</t>
    </r>
  </si>
  <si>
    <r>
      <t xml:space="preserve">Transmission PCB line </t>
    </r>
    <r>
      <rPr>
        <b/>
        <sz val="12"/>
        <color indexed="10"/>
        <rFont val="Calibri"/>
        <family val="2"/>
      </rPr>
      <t>Lendth</t>
    </r>
    <r>
      <rPr>
        <b/>
        <sz val="12"/>
        <color indexed="63"/>
        <rFont val="Calibri"/>
        <family val="2"/>
      </rPr>
      <t xml:space="preserve"> is:</t>
    </r>
  </si>
  <si>
    <t>mm</t>
  </si>
  <si>
    <r>
      <t xml:space="preserve">   Enter </t>
    </r>
    <r>
      <rPr>
        <b/>
        <sz val="12"/>
        <color rgb="FFFF0000"/>
        <rFont val="Calibri"/>
        <family val="2"/>
        <scheme val="minor"/>
      </rPr>
      <t xml:space="preserve">Rz Input </t>
    </r>
    <r>
      <rPr>
        <b/>
        <sz val="12"/>
        <color indexed="8"/>
        <rFont val="Calibri"/>
        <family val="2"/>
      </rPr>
      <t>&gt;</t>
    </r>
  </si>
  <si>
    <t>Ԑr effective sq.root  is:</t>
  </si>
  <si>
    <r>
      <t>Velocity of Propagation</t>
    </r>
    <r>
      <rPr>
        <b/>
        <sz val="12"/>
        <color rgb="FFFF0000"/>
        <rFont val="Calibri"/>
        <family val="2"/>
        <scheme val="minor"/>
      </rPr>
      <t xml:space="preserve"> V</t>
    </r>
    <r>
      <rPr>
        <b/>
        <sz val="12"/>
        <color theme="1" tint="0.14999847407452621"/>
        <rFont val="Calibri"/>
        <family val="2"/>
        <scheme val="minor"/>
      </rPr>
      <t xml:space="preserve"> is:</t>
    </r>
  </si>
  <si>
    <t>Vp</t>
  </si>
  <si>
    <t>Velocity of E/M waves in PCB is:</t>
  </si>
  <si>
    <t>m/sec</t>
  </si>
  <si>
    <t>The length of the S11 worst case. Depends on the critical frequency.  (MILs / mm)</t>
  </si>
  <si>
    <r>
      <t xml:space="preserve">Enter the critical </t>
    </r>
    <r>
      <rPr>
        <b/>
        <sz val="12"/>
        <color indexed="10"/>
        <rFont val="Calibri"/>
        <family val="2"/>
      </rPr>
      <t xml:space="preserve"> Frequency</t>
    </r>
    <r>
      <rPr>
        <b/>
        <sz val="12"/>
        <rFont val="Calibri"/>
        <family val="2"/>
      </rPr>
      <t xml:space="preserve">   &gt;</t>
    </r>
  </si>
  <si>
    <t>GHz</t>
  </si>
  <si>
    <t>third</t>
  </si>
  <si>
    <t>Wave whole length (4/4) is:</t>
  </si>
  <si>
    <t>Fraction of wave length is:</t>
  </si>
  <si>
    <t>λ/4</t>
  </si>
  <si>
    <t>The frequencies of the S11 local minimum. The best case of S11. (GHz)</t>
  </si>
  <si>
    <t>Number of the local minimum fequencies:</t>
  </si>
  <si>
    <t>The recommended length for the S11 local minimum - the best case of S11. Depends on the critical frequency.  (MILs / mm)</t>
  </si>
  <si>
    <t>MILs / mm calculator</t>
  </si>
  <si>
    <r>
      <t xml:space="preserve">Enter </t>
    </r>
    <r>
      <rPr>
        <b/>
        <sz val="12"/>
        <color indexed="10"/>
        <rFont val="Calibri"/>
        <family val="2"/>
      </rPr>
      <t>MILs</t>
    </r>
    <r>
      <rPr>
        <b/>
        <sz val="12"/>
        <color indexed="8"/>
        <rFont val="Calibri"/>
        <family val="2"/>
      </rPr>
      <t xml:space="preserve"> &gt;</t>
    </r>
  </si>
  <si>
    <r>
      <t xml:space="preserve">Enter </t>
    </r>
    <r>
      <rPr>
        <b/>
        <sz val="12"/>
        <color indexed="10"/>
        <rFont val="Calibri"/>
        <family val="2"/>
      </rPr>
      <t>mm</t>
    </r>
    <r>
      <rPr>
        <b/>
        <sz val="12"/>
        <color indexed="8"/>
        <rFont val="Calibri"/>
        <family val="2"/>
      </rPr>
      <t xml:space="preserve"> &gt;</t>
    </r>
  </si>
  <si>
    <t xml:space="preserve">                                     Produced by Alex Lapayev</t>
  </si>
  <si>
    <r>
      <rPr>
        <b/>
        <sz val="12"/>
        <color rgb="FFFF0000"/>
        <rFont val="Calibri"/>
        <family val="2"/>
        <scheme val="minor"/>
      </rPr>
      <t xml:space="preserve">   Rz Line</t>
    </r>
    <r>
      <rPr>
        <b/>
        <sz val="12"/>
        <color theme="1"/>
        <rFont val="Calibri"/>
        <family val="2"/>
        <scheme val="minor"/>
      </rPr>
      <t xml:space="preserve"> is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</si>
</sst>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0"/>
      <name val="Calibri"/>
      <family val="2"/>
    </font>
    <font>
      <b/>
      <sz val="12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 tint="0.14999847407452621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color indexed="63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 tint="0.14999847407452621"/>
      <name val="Calibri"/>
      <family val="2"/>
    </font>
    <font>
      <b/>
      <sz val="12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2"/>
      <color theme="4" tint="0.79998168889431442"/>
      <name val="Aharoni"/>
      <charset val="177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7917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8">
    <border>
      <left/>
      <right/>
      <top/>
      <bottom/>
      <diagonal/>
    </border>
    <border>
      <left style="thick">
        <color theme="2" tint="-0.749961851863155"/>
      </left>
      <right/>
      <top style="thick">
        <color theme="2" tint="-0.749961851863155"/>
      </top>
      <bottom/>
      <diagonal/>
    </border>
    <border>
      <left/>
      <right/>
      <top style="thick">
        <color theme="2" tint="-0.749961851863155"/>
      </top>
      <bottom/>
      <diagonal/>
    </border>
    <border>
      <left/>
      <right style="thick">
        <color theme="2" tint="-0.749961851863155"/>
      </right>
      <top style="thick">
        <color theme="2" tint="-0.749961851863155"/>
      </top>
      <bottom/>
      <diagonal/>
    </border>
    <border>
      <left style="thick">
        <color theme="2" tint="-0.749961851863155"/>
      </left>
      <right/>
      <top/>
      <bottom/>
      <diagonal/>
    </border>
    <border>
      <left/>
      <right/>
      <top/>
      <bottom style="thick">
        <color theme="2" tint="-0.749961851863155"/>
      </bottom>
      <diagonal/>
    </border>
    <border>
      <left/>
      <right style="thick">
        <color theme="2" tint="-0.749961851863155"/>
      </right>
      <top/>
      <bottom style="thick">
        <color theme="2" tint="-0.749961851863155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2" tint="-0.749961851863155"/>
      </left>
      <right/>
      <top style="thick">
        <color theme="2" tint="-0.749961851863155"/>
      </top>
      <bottom style="thick">
        <color theme="2" tint="-0.749961851863155"/>
      </bottom>
      <diagonal/>
    </border>
    <border>
      <left/>
      <right/>
      <top style="thick">
        <color theme="2" tint="-0.749961851863155"/>
      </top>
      <bottom style="thick">
        <color theme="2" tint="-0.749961851863155"/>
      </bottom>
      <diagonal/>
    </border>
    <border>
      <left/>
      <right style="thick">
        <color theme="2" tint="-0.749961851863155"/>
      </right>
      <top style="thick">
        <color theme="2" tint="-0.749961851863155"/>
      </top>
      <bottom style="thick">
        <color theme="2" tint="-0.749961851863155"/>
      </bottom>
      <diagonal/>
    </border>
    <border>
      <left/>
      <right style="thick">
        <color theme="0"/>
      </right>
      <top/>
      <bottom/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  <border>
      <left style="double">
        <color theme="2" tint="-0.499984740745262"/>
      </left>
      <right/>
      <top style="double">
        <color theme="2" tint="-0.499984740745262"/>
      </top>
      <bottom style="double">
        <color theme="2" tint="-0.499984740745262"/>
      </bottom>
      <diagonal/>
    </border>
    <border>
      <left style="thick">
        <color theme="2" tint="-0.749961851863155"/>
      </left>
      <right style="thick">
        <color theme="2" tint="-0.749961851863155"/>
      </right>
      <top style="thick">
        <color theme="2" tint="-0.749961851863155"/>
      </top>
      <bottom style="thick">
        <color theme="2" tint="-0.749961851863155"/>
      </bottom>
      <diagonal/>
    </border>
    <border>
      <left/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  <border>
      <left style="double">
        <color theme="2" tint="-0.499984740745262"/>
      </left>
      <right style="double">
        <color theme="2" tint="-0.499984740745262"/>
      </right>
      <top/>
      <bottom style="double">
        <color theme="2" tint="-0.499984740745262"/>
      </bottom>
      <diagonal/>
    </border>
    <border>
      <left style="double">
        <color theme="2" tint="-0.499984740745262"/>
      </left>
      <right/>
      <top/>
      <bottom style="double">
        <color theme="2" tint="-0.499984740745262"/>
      </bottom>
      <diagonal/>
    </border>
    <border>
      <left style="thick">
        <color theme="2" tint="-0.749961851863155"/>
      </left>
      <right style="thick">
        <color theme="2" tint="-0.749961851863155"/>
      </right>
      <top/>
      <bottom style="thick">
        <color theme="2" tint="-0.749961851863155"/>
      </bottom>
      <diagonal/>
    </border>
    <border>
      <left/>
      <right style="double">
        <color theme="2" tint="-0.499984740745262"/>
      </right>
      <top/>
      <bottom style="double">
        <color theme="2" tint="-0.499984740745262"/>
      </bottom>
      <diagonal/>
    </border>
    <border>
      <left/>
      <right/>
      <top/>
      <bottom style="double">
        <color theme="2" tint="-0.499984740745262"/>
      </bottom>
      <diagonal/>
    </border>
    <border>
      <left style="double">
        <color theme="2" tint="-0.499984740745262"/>
      </left>
      <right/>
      <top/>
      <bottom/>
      <diagonal/>
    </border>
    <border>
      <left/>
      <right style="double">
        <color theme="2" tint="-0.499984740745262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double">
        <color theme="6" tint="-0.24994659260841701"/>
      </left>
      <right/>
      <top style="double">
        <color theme="6" tint="-0.24994659260841701"/>
      </top>
      <bottom style="thick">
        <color theme="2" tint="-0.749961851863155"/>
      </bottom>
      <diagonal/>
    </border>
    <border>
      <left/>
      <right/>
      <top style="double">
        <color theme="6" tint="-0.24994659260841701"/>
      </top>
      <bottom style="thick">
        <color theme="2" tint="-0.749961851863155"/>
      </bottom>
      <diagonal/>
    </border>
    <border>
      <left/>
      <right style="double">
        <color theme="6" tint="-0.24994659260841701"/>
      </right>
      <top style="double">
        <color theme="6" tint="-0.24994659260841701"/>
      </top>
      <bottom style="thick">
        <color theme="2" tint="-0.749961851863155"/>
      </bottom>
      <diagonal/>
    </border>
    <border>
      <left style="double">
        <color theme="6" tint="-0.24994659260841701"/>
      </left>
      <right/>
      <top style="thick">
        <color theme="2" tint="-0.749961851863155"/>
      </top>
      <bottom style="double">
        <color theme="2" tint="-0.499984740745262"/>
      </bottom>
      <diagonal/>
    </border>
    <border>
      <left/>
      <right/>
      <top style="thick">
        <color theme="2" tint="-0.749961851863155"/>
      </top>
      <bottom style="double">
        <color theme="2" tint="-0.499984740745262"/>
      </bottom>
      <diagonal/>
    </border>
    <border>
      <left/>
      <right style="double">
        <color theme="6" tint="-0.24994659260841701"/>
      </right>
      <top style="thick">
        <color theme="2" tint="-0.749961851863155"/>
      </top>
      <bottom style="double">
        <color theme="2" tint="-0.499984740745262"/>
      </bottom>
      <diagonal/>
    </border>
    <border>
      <left style="double">
        <color theme="6" tint="-0.24994659260841701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  <border>
      <left style="double">
        <color theme="2" tint="-0.499984740745262"/>
      </left>
      <right style="double">
        <color theme="6" tint="-0.24994659260841701"/>
      </right>
      <top style="double">
        <color theme="2" tint="-0.499984740745262"/>
      </top>
      <bottom style="double">
        <color theme="2" tint="-0.499984740745262"/>
      </bottom>
      <diagonal/>
    </border>
    <border>
      <left style="double">
        <color theme="6" tint="-0.24994659260841701"/>
      </left>
      <right/>
      <top style="double">
        <color theme="2" tint="-0.499984740745262"/>
      </top>
      <bottom style="double">
        <color theme="2" tint="-0.499984740745262"/>
      </bottom>
      <diagonal/>
    </border>
    <border>
      <left/>
      <right/>
      <top style="double">
        <color theme="2" tint="-0.499984740745262"/>
      </top>
      <bottom style="double">
        <color theme="2" tint="-0.499984740745262"/>
      </bottom>
      <diagonal/>
    </border>
    <border>
      <left/>
      <right style="double">
        <color theme="6" tint="-0.24994659260841701"/>
      </right>
      <top style="double">
        <color theme="2" tint="-0.499984740745262"/>
      </top>
      <bottom style="double">
        <color theme="2" tint="-0.499984740745262"/>
      </bottom>
      <diagonal/>
    </border>
    <border>
      <left style="double">
        <color theme="6" tint="-0.24994659260841701"/>
      </left>
      <right style="double">
        <color theme="2" tint="-0.499984740745262"/>
      </right>
      <top style="double">
        <color theme="2" tint="-0.499984740745262"/>
      </top>
      <bottom style="double">
        <color theme="6" tint="-0.24994659260841701"/>
      </bottom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6" tint="-0.24994659260841701"/>
      </bottom>
      <diagonal/>
    </border>
    <border>
      <left style="double">
        <color theme="2" tint="-0.499984740745262"/>
      </left>
      <right style="double">
        <color theme="6" tint="-0.24994659260841701"/>
      </right>
      <top style="double">
        <color theme="2" tint="-0.499984740745262"/>
      </top>
      <bottom style="double">
        <color theme="6" tint="-0.24994659260841701"/>
      </bottom>
      <diagonal/>
    </border>
    <border>
      <left/>
      <right/>
      <top style="double">
        <color theme="2" tint="-0.499984740745262"/>
      </top>
      <bottom/>
      <diagonal/>
    </border>
    <border>
      <left style="thick">
        <color theme="2" tint="-0.499984740745262"/>
      </left>
      <right style="thick">
        <color theme="2" tint="-0.499984740745262"/>
      </right>
      <top style="thick">
        <color theme="2" tint="-0.499984740745262"/>
      </top>
      <bottom style="thick">
        <color theme="2" tint="-0.499984740745262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21">
    <xf numFmtId="0" fontId="0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</cellStyleXfs>
  <cellXfs count="12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4" fillId="2" borderId="0" xfId="0" applyFont="1" applyFill="1"/>
    <xf numFmtId="0" fontId="4" fillId="4" borderId="7" xfId="0" applyFont="1" applyFill="1" applyBorder="1"/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/>
    <xf numFmtId="0" fontId="4" fillId="4" borderId="9" xfId="0" applyFont="1" applyFill="1" applyBorder="1"/>
    <xf numFmtId="0" fontId="4" fillId="2" borderId="0" xfId="0" applyFont="1" applyFill="1" applyAlignment="1"/>
    <xf numFmtId="0" fontId="4" fillId="2" borderId="0" xfId="0" applyFont="1" applyFill="1" applyBorder="1" applyAlignment="1"/>
    <xf numFmtId="0" fontId="4" fillId="0" borderId="0" xfId="0" applyFont="1"/>
    <xf numFmtId="0" fontId="4" fillId="4" borderId="10" xfId="0" applyFont="1" applyFill="1" applyBorder="1"/>
    <xf numFmtId="0" fontId="6" fillId="4" borderId="14" xfId="0" applyFont="1" applyFill="1" applyBorder="1" applyAlignment="1">
      <alignment horizontal="center"/>
    </xf>
    <xf numFmtId="0" fontId="7" fillId="2" borderId="17" xfId="0" applyFont="1" applyFill="1" applyBorder="1" applyAlignment="1" applyProtection="1">
      <alignment horizontal="center"/>
      <protection locked="0"/>
    </xf>
    <xf numFmtId="0" fontId="7" fillId="6" borderId="18" xfId="0" applyFont="1" applyFill="1" applyBorder="1" applyAlignment="1">
      <alignment horizontal="center"/>
    </xf>
    <xf numFmtId="0" fontId="6" fillId="2" borderId="21" xfId="0" applyFont="1" applyFill="1" applyBorder="1" applyAlignment="1" applyProtection="1">
      <alignment horizontal="center"/>
      <protection locked="0"/>
    </xf>
    <xf numFmtId="0" fontId="6" fillId="6" borderId="22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6" borderId="18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11" borderId="19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6" fillId="7" borderId="0" xfId="0" applyFont="1" applyFill="1" applyBorder="1"/>
    <xf numFmtId="0" fontId="6" fillId="7" borderId="25" xfId="0" applyFont="1" applyFill="1" applyBorder="1"/>
    <xf numFmtId="0" fontId="4" fillId="2" borderId="0" xfId="0" applyFont="1" applyFill="1" applyBorder="1"/>
    <xf numFmtId="0" fontId="4" fillId="4" borderId="14" xfId="0" applyFont="1" applyFill="1" applyBorder="1"/>
    <xf numFmtId="0" fontId="7" fillId="12" borderId="15" xfId="0" applyFont="1" applyFill="1" applyBorder="1" applyAlignment="1">
      <alignment horizontal="center"/>
    </xf>
    <xf numFmtId="0" fontId="12" fillId="10" borderId="15" xfId="0" applyFont="1" applyFill="1" applyBorder="1" applyAlignment="1">
      <alignment horizontal="center"/>
    </xf>
    <xf numFmtId="0" fontId="6" fillId="13" borderId="15" xfId="0" applyFont="1" applyFill="1" applyBorder="1" applyAlignment="1">
      <alignment horizontal="center"/>
    </xf>
    <xf numFmtId="0" fontId="6" fillId="12" borderId="15" xfId="0" applyFont="1" applyFill="1" applyBorder="1" applyAlignment="1">
      <alignment horizontal="center"/>
    </xf>
    <xf numFmtId="0" fontId="4" fillId="10" borderId="15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5" fillId="2" borderId="0" xfId="0" applyFont="1" applyFill="1"/>
    <xf numFmtId="0" fontId="15" fillId="4" borderId="10" xfId="0" applyFont="1" applyFill="1" applyBorder="1"/>
    <xf numFmtId="0" fontId="15" fillId="2" borderId="0" xfId="0" applyFont="1" applyFill="1" applyBorder="1"/>
    <xf numFmtId="0" fontId="15" fillId="4" borderId="14" xfId="0" applyFont="1" applyFill="1" applyBorder="1"/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Border="1" applyAlignment="1">
      <alignment horizontal="center"/>
    </xf>
    <xf numFmtId="0" fontId="15" fillId="0" borderId="0" xfId="0" applyFont="1"/>
    <xf numFmtId="0" fontId="0" fillId="4" borderId="10" xfId="0" applyFill="1" applyBorder="1"/>
    <xf numFmtId="0" fontId="0" fillId="0" borderId="0" xfId="0" applyBorder="1"/>
    <xf numFmtId="0" fontId="0" fillId="4" borderId="14" xfId="0" applyFill="1" applyBorder="1"/>
    <xf numFmtId="0" fontId="0" fillId="2" borderId="0" xfId="0" applyFill="1" applyAlignment="1">
      <alignment horizontal="left" vertical="center"/>
    </xf>
    <xf numFmtId="0" fontId="2" fillId="7" borderId="24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7" borderId="25" xfId="0" applyFont="1" applyFill="1" applyBorder="1" applyAlignment="1">
      <alignment horizontal="center"/>
    </xf>
    <xf numFmtId="0" fontId="17" fillId="10" borderId="15" xfId="0" applyFont="1" applyFill="1" applyBorder="1" applyAlignment="1">
      <alignment horizontal="center"/>
    </xf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0" fillId="2" borderId="0" xfId="0" applyFill="1" applyAlignment="1">
      <alignment horizontal="center"/>
    </xf>
    <xf numFmtId="0" fontId="6" fillId="14" borderId="35" xfId="0" applyFont="1" applyFill="1" applyBorder="1" applyAlignment="1">
      <alignment horizontal="center"/>
    </xf>
    <xf numFmtId="0" fontId="6" fillId="14" borderId="15" xfId="0" applyFont="1" applyFill="1" applyBorder="1" applyAlignment="1">
      <alignment horizontal="center"/>
    </xf>
    <xf numFmtId="0" fontId="6" fillId="14" borderId="36" xfId="0" applyFont="1" applyFill="1" applyBorder="1" applyAlignment="1">
      <alignment horizontal="center"/>
    </xf>
    <xf numFmtId="0" fontId="0" fillId="14" borderId="37" xfId="0" applyFill="1" applyBorder="1" applyAlignment="1">
      <alignment horizontal="center"/>
    </xf>
    <xf numFmtId="0" fontId="0" fillId="14" borderId="38" xfId="0" applyFill="1" applyBorder="1" applyAlignment="1">
      <alignment horizontal="center"/>
    </xf>
    <xf numFmtId="0" fontId="0" fillId="14" borderId="39" xfId="0" applyFill="1" applyBorder="1" applyAlignment="1">
      <alignment horizontal="center"/>
    </xf>
    <xf numFmtId="0" fontId="6" fillId="15" borderId="40" xfId="0" applyFont="1" applyFill="1" applyBorder="1" applyAlignment="1">
      <alignment horizontal="center"/>
    </xf>
    <xf numFmtId="0" fontId="6" fillId="15" borderId="41" xfId="0" applyFont="1" applyFill="1" applyBorder="1" applyAlignment="1">
      <alignment horizontal="center"/>
    </xf>
    <xf numFmtId="0" fontId="6" fillId="15" borderId="42" xfId="0" applyFont="1" applyFill="1" applyBorder="1" applyAlignment="1">
      <alignment horizontal="center"/>
    </xf>
    <xf numFmtId="0" fontId="0" fillId="14" borderId="24" xfId="0" applyFill="1" applyBorder="1"/>
    <xf numFmtId="0" fontId="0" fillId="14" borderId="0" xfId="0" applyFill="1" applyBorder="1"/>
    <xf numFmtId="0" fontId="0" fillId="14" borderId="25" xfId="0" applyFill="1" applyBorder="1"/>
    <xf numFmtId="0" fontId="6" fillId="15" borderId="15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/>
    <xf numFmtId="0" fontId="18" fillId="2" borderId="0" xfId="0" applyFont="1" applyFill="1" applyBorder="1"/>
    <xf numFmtId="0" fontId="18" fillId="2" borderId="0" xfId="0" applyFont="1" applyFill="1" applyBorder="1" applyProtection="1">
      <protection locked="0"/>
    </xf>
    <xf numFmtId="0" fontId="18" fillId="2" borderId="0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left" vertical="center"/>
    </xf>
    <xf numFmtId="0" fontId="6" fillId="2" borderId="44" xfId="0" applyFont="1" applyFill="1" applyBorder="1" applyAlignment="1" applyProtection="1">
      <alignment horizontal="center"/>
      <protection locked="0"/>
    </xf>
    <xf numFmtId="0" fontId="6" fillId="11" borderId="18" xfId="0" applyFont="1" applyFill="1" applyBorder="1" applyAlignment="1">
      <alignment horizontal="center"/>
    </xf>
    <xf numFmtId="0" fontId="0" fillId="0" borderId="0" xfId="0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Alignment="1"/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2" fillId="7" borderId="20" xfId="0" applyFont="1" applyFill="1" applyBorder="1" applyAlignment="1">
      <alignment horizontal="center"/>
    </xf>
    <xf numFmtId="0" fontId="12" fillId="7" borderId="23" xfId="0" applyFont="1" applyFill="1" applyBorder="1" applyAlignment="1">
      <alignment horizontal="center"/>
    </xf>
    <xf numFmtId="0" fontId="12" fillId="7" borderId="22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20" fillId="2" borderId="0" xfId="1" applyFont="1" applyFill="1" applyAlignment="1">
      <alignment horizontal="center"/>
    </xf>
    <xf numFmtId="0" fontId="0" fillId="4" borderId="45" xfId="0" applyFill="1" applyBorder="1" applyAlignment="1">
      <alignment horizontal="left"/>
    </xf>
    <xf numFmtId="0" fontId="0" fillId="4" borderId="46" xfId="0" applyFill="1" applyBorder="1" applyAlignment="1">
      <alignment horizontal="left"/>
    </xf>
    <xf numFmtId="0" fontId="0" fillId="4" borderId="47" xfId="0" applyFill="1" applyBorder="1" applyAlignment="1">
      <alignment horizontal="left"/>
    </xf>
    <xf numFmtId="0" fontId="12" fillId="10" borderId="15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6" fillId="14" borderId="32" xfId="0" applyFont="1" applyFill="1" applyBorder="1" applyAlignment="1">
      <alignment horizontal="center"/>
    </xf>
    <xf numFmtId="0" fontId="6" fillId="14" borderId="33" xfId="0" applyFont="1" applyFill="1" applyBorder="1" applyAlignment="1">
      <alignment horizontal="center"/>
    </xf>
    <xf numFmtId="0" fontId="6" fillId="14" borderId="34" xfId="0" applyFont="1" applyFill="1" applyBorder="1" applyAlignment="1">
      <alignment horizontal="center"/>
    </xf>
    <xf numFmtId="0" fontId="12" fillId="14" borderId="20" xfId="0" applyFont="1" applyFill="1" applyBorder="1" applyAlignment="1">
      <alignment horizontal="center"/>
    </xf>
    <xf numFmtId="0" fontId="12" fillId="14" borderId="23" xfId="0" applyFont="1" applyFill="1" applyBorder="1" applyAlignment="1">
      <alignment horizontal="center"/>
    </xf>
    <xf numFmtId="0" fontId="12" fillId="14" borderId="22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left" vertical="center"/>
    </xf>
    <xf numFmtId="0" fontId="7" fillId="8" borderId="16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10" borderId="15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left" vertical="center"/>
    </xf>
    <xf numFmtId="0" fontId="7" fillId="5" borderId="16" xfId="0" applyFont="1" applyFill="1" applyBorder="1" applyAlignment="1">
      <alignment horizontal="left" vertical="center"/>
    </xf>
    <xf numFmtId="0" fontId="6" fillId="5" borderId="19" xfId="0" applyFont="1" applyFill="1" applyBorder="1" applyAlignment="1">
      <alignment horizontal="left" vertical="center"/>
    </xf>
    <xf numFmtId="0" fontId="6" fillId="5" borderId="20" xfId="0" applyFont="1" applyFill="1" applyBorder="1" applyAlignment="1">
      <alignment horizontal="left" vertical="center"/>
    </xf>
  </cellXfs>
  <cellStyles count="21">
    <cellStyle name="Hyperlink" xfId="1" builtinId="8"/>
    <cellStyle name="Hyperlink 2" xfId="2"/>
    <cellStyle name="Normal" xfId="0" builtinId="0"/>
    <cellStyle name="Normal 2" xfId="3"/>
    <cellStyle name="Normal 2 2" xfId="4"/>
    <cellStyle name="Normal 2 2 2" xfId="5"/>
    <cellStyle name="Normal 2 2 2 2" xfId="6"/>
    <cellStyle name="Normal 2 2 3" xfId="7"/>
    <cellStyle name="Normal 2 3" xfId="8"/>
    <cellStyle name="Normal 2 3 2" xfId="9"/>
    <cellStyle name="Normal 2 4" xfId="10"/>
    <cellStyle name="Normal 3" xfId="11"/>
    <cellStyle name="Normal 3 2" xfId="12"/>
    <cellStyle name="Normal 4" xfId="13"/>
    <cellStyle name="Normal 5" xfId="14"/>
    <cellStyle name="Normal 5 2" xfId="15"/>
    <cellStyle name="Normal 5 2 2" xfId="16"/>
    <cellStyle name="Normal 5 3" xfId="17"/>
    <cellStyle name="Normal 6" xfId="18"/>
    <cellStyle name="Normal 6 2" xfId="19"/>
    <cellStyle name="Normal 7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8313</xdr:colOff>
      <xdr:row>12</xdr:row>
      <xdr:rowOff>0</xdr:rowOff>
    </xdr:from>
    <xdr:to>
      <xdr:col>6</xdr:col>
      <xdr:colOff>0</xdr:colOff>
      <xdr:row>17</xdr:row>
      <xdr:rowOff>16626</xdr:rowOff>
    </xdr:to>
    <xdr:sp macro="" textlink="">
      <xdr:nvSpPr>
        <xdr:cNvPr id="2" name="Rectangle 1"/>
        <xdr:cNvSpPr/>
      </xdr:nvSpPr>
      <xdr:spPr>
        <a:xfrm>
          <a:off x="573578" y="2535382"/>
          <a:ext cx="3374967" cy="109728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19050"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19</xdr:row>
      <xdr:rowOff>16626</xdr:rowOff>
    </xdr:from>
    <xdr:to>
      <xdr:col>13</xdr:col>
      <xdr:colOff>9780</xdr:colOff>
      <xdr:row>37</xdr:row>
      <xdr:rowOff>19560</xdr:rowOff>
    </xdr:to>
    <xdr:sp macro="" textlink="">
      <xdr:nvSpPr>
        <xdr:cNvPr id="3" name="Rectangle 2"/>
        <xdr:cNvSpPr/>
      </xdr:nvSpPr>
      <xdr:spPr>
        <a:xfrm>
          <a:off x="357447" y="4064924"/>
          <a:ext cx="8164566" cy="3851727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 w="22225"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zoomScale="85" zoomScaleNormal="85" workbookViewId="0">
      <selection activeCell="B40" sqref="B40:X40"/>
    </sheetView>
  </sheetViews>
  <sheetFormatPr defaultRowHeight="14.4" x14ac:dyDescent="0.3"/>
  <cols>
    <col min="1" max="1" width="4.77734375" customWidth="1"/>
    <col min="2" max="2" width="2.77734375" customWidth="1"/>
    <col min="3" max="3" width="10.33203125" customWidth="1"/>
    <col min="4" max="4" width="14.21875" customWidth="1"/>
    <col min="5" max="5" width="10.33203125" style="83" customWidth="1"/>
    <col min="6" max="6" width="10.33203125" customWidth="1"/>
    <col min="7" max="7" width="2.77734375" customWidth="1"/>
    <col min="8" max="8" width="4.77734375" customWidth="1"/>
    <col min="9" max="9" width="10" customWidth="1"/>
    <col min="10" max="10" width="11.77734375" customWidth="1"/>
    <col min="11" max="11" width="8.109375" customWidth="1"/>
    <col min="12" max="13" width="11.77734375" customWidth="1"/>
    <col min="14" max="14" width="3.44140625" customWidth="1"/>
    <col min="15" max="24" width="11.77734375" customWidth="1"/>
    <col min="25" max="25" width="4.77734375" customWidth="1"/>
    <col min="26" max="43" width="11.77734375" customWidth="1"/>
  </cols>
  <sheetData>
    <row r="1" spans="1:25" ht="15.75" thickBot="1" x14ac:dyDescent="0.3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" thickTop="1" x14ac:dyDescent="0.3">
      <c r="A2" s="1"/>
      <c r="B2" s="113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5"/>
      <c r="Y2" s="1"/>
    </row>
    <row r="3" spans="1:25" ht="15" customHeight="1" thickBot="1" x14ac:dyDescent="0.35">
      <c r="A3" s="1"/>
      <c r="B3" s="116"/>
      <c r="C3" s="117"/>
      <c r="D3" s="117"/>
      <c r="E3" s="117"/>
      <c r="F3" s="117"/>
      <c r="G3" s="117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9"/>
      <c r="Y3" s="1"/>
    </row>
    <row r="4" spans="1:25" s="10" customFormat="1" ht="17.100000000000001" thickTop="1" thickBot="1" x14ac:dyDescent="0.35">
      <c r="A4" s="3"/>
      <c r="B4" s="4"/>
      <c r="C4" s="5"/>
      <c r="D4" s="5"/>
      <c r="E4" s="5"/>
      <c r="F4" s="6"/>
      <c r="G4" s="7"/>
      <c r="H4" s="3"/>
      <c r="I4" s="3"/>
      <c r="J4" s="3"/>
      <c r="K4" s="3"/>
      <c r="L4" s="3"/>
      <c r="M4" s="3"/>
      <c r="N4" s="8"/>
      <c r="O4" s="9"/>
      <c r="P4" s="9"/>
      <c r="Q4" s="9"/>
      <c r="R4" s="9"/>
      <c r="S4" s="9"/>
      <c r="T4" s="9"/>
      <c r="U4" s="9"/>
      <c r="V4" s="9"/>
      <c r="W4" s="9"/>
      <c r="X4" s="9"/>
      <c r="Y4" s="3"/>
    </row>
    <row r="5" spans="1:25" s="10" customFormat="1" ht="16.8" thickTop="1" thickBot="1" x14ac:dyDescent="0.35">
      <c r="A5" s="3"/>
      <c r="B5" s="11"/>
      <c r="C5" s="120" t="s">
        <v>1</v>
      </c>
      <c r="D5" s="121"/>
      <c r="E5" s="121"/>
      <c r="F5" s="122"/>
      <c r="G5" s="12"/>
      <c r="H5" s="3"/>
      <c r="I5" s="123" t="s">
        <v>2</v>
      </c>
      <c r="J5" s="123"/>
      <c r="K5" s="124"/>
      <c r="L5" s="13">
        <v>4.3</v>
      </c>
      <c r="M5" s="14" t="s">
        <v>3</v>
      </c>
      <c r="N5" s="3"/>
      <c r="O5" s="84" t="s">
        <v>4</v>
      </c>
      <c r="P5" s="85"/>
      <c r="Q5" s="85"/>
      <c r="R5" s="85"/>
      <c r="S5" s="85"/>
      <c r="T5" s="85"/>
      <c r="U5" s="85"/>
      <c r="V5" s="85"/>
      <c r="W5" s="85"/>
      <c r="X5" s="86"/>
      <c r="Y5" s="3"/>
    </row>
    <row r="6" spans="1:25" s="10" customFormat="1" ht="17.100000000000001" thickTop="1" thickBot="1" x14ac:dyDescent="0.35">
      <c r="A6" s="3"/>
      <c r="B6" s="11"/>
      <c r="C6" s="125" t="s">
        <v>5</v>
      </c>
      <c r="D6" s="126"/>
      <c r="E6" s="15">
        <v>50</v>
      </c>
      <c r="F6" s="16" t="s">
        <v>6</v>
      </c>
      <c r="G6" s="12"/>
      <c r="H6" s="3"/>
      <c r="I6" s="17"/>
      <c r="J6" s="17"/>
      <c r="K6" s="17"/>
      <c r="L6" s="3"/>
      <c r="M6" s="3"/>
      <c r="N6" s="3"/>
      <c r="O6" s="87" t="s">
        <v>7</v>
      </c>
      <c r="P6" s="88"/>
      <c r="Q6" s="88"/>
      <c r="R6" s="88"/>
      <c r="S6" s="88"/>
      <c r="T6" s="88"/>
      <c r="U6" s="88"/>
      <c r="V6" s="88"/>
      <c r="W6" s="88"/>
      <c r="X6" s="89"/>
      <c r="Y6" s="3"/>
    </row>
    <row r="7" spans="1:25" s="10" customFormat="1" ht="17.100000000000001" thickTop="1" thickBot="1" x14ac:dyDescent="0.35">
      <c r="A7" s="3"/>
      <c r="B7" s="11"/>
      <c r="C7" s="110" t="s">
        <v>8</v>
      </c>
      <c r="D7" s="111"/>
      <c r="E7" s="18">
        <v>75</v>
      </c>
      <c r="F7" s="19" t="s">
        <v>6</v>
      </c>
      <c r="G7" s="12"/>
      <c r="H7" s="3"/>
      <c r="I7" s="108" t="s">
        <v>9</v>
      </c>
      <c r="J7" s="108"/>
      <c r="K7" s="109"/>
      <c r="L7" s="13">
        <v>1000</v>
      </c>
      <c r="M7" s="20" t="s">
        <v>10</v>
      </c>
      <c r="N7" s="3"/>
      <c r="O7" s="21" t="s">
        <v>11</v>
      </c>
      <c r="P7" s="21" t="s">
        <v>12</v>
      </c>
      <c r="Q7" s="21" t="s">
        <v>13</v>
      </c>
      <c r="R7" s="21" t="s">
        <v>14</v>
      </c>
      <c r="S7" s="21" t="s">
        <v>15</v>
      </c>
      <c r="T7" s="21" t="s">
        <v>16</v>
      </c>
      <c r="U7" s="21" t="s">
        <v>17</v>
      </c>
      <c r="V7" s="21" t="s">
        <v>18</v>
      </c>
      <c r="W7" s="21" t="s">
        <v>19</v>
      </c>
      <c r="X7" s="21" t="s">
        <v>20</v>
      </c>
      <c r="Y7" s="3"/>
    </row>
    <row r="8" spans="1:25" s="10" customFormat="1" ht="17.100000000000001" thickTop="1" thickBot="1" x14ac:dyDescent="0.35">
      <c r="A8" s="3"/>
      <c r="B8" s="11"/>
      <c r="C8" s="112" t="s">
        <v>21</v>
      </c>
      <c r="D8" s="112"/>
      <c r="E8" s="22">
        <f>ROUND((((E7*E7) / E6)),2)</f>
        <v>112.5</v>
      </c>
      <c r="F8" s="23" t="s">
        <v>6</v>
      </c>
      <c r="G8" s="12"/>
      <c r="H8" s="3"/>
      <c r="I8" s="17"/>
      <c r="J8" s="17"/>
      <c r="K8" s="17"/>
      <c r="L8" s="3"/>
      <c r="M8" s="3"/>
      <c r="N8" s="3"/>
      <c r="O8" s="24"/>
      <c r="P8" s="25"/>
      <c r="Q8" s="25"/>
      <c r="R8" s="25"/>
      <c r="S8" s="25"/>
      <c r="T8" s="25"/>
      <c r="U8" s="25"/>
      <c r="V8" s="26"/>
      <c r="W8" s="26"/>
      <c r="X8" s="27"/>
      <c r="Y8" s="3"/>
    </row>
    <row r="9" spans="1:25" s="10" customFormat="1" ht="17.100000000000001" thickTop="1" thickBot="1" x14ac:dyDescent="0.35">
      <c r="A9" s="3"/>
      <c r="B9" s="11"/>
      <c r="C9" s="28"/>
      <c r="D9" s="28"/>
      <c r="E9" s="28"/>
      <c r="F9" s="28"/>
      <c r="G9" s="29"/>
      <c r="H9" s="3"/>
      <c r="I9" s="98" t="s">
        <v>22</v>
      </c>
      <c r="J9" s="98"/>
      <c r="K9" s="98"/>
      <c r="L9" s="30">
        <f>ROUND(( L7 / 39.3700787),4)</f>
        <v>25.4</v>
      </c>
      <c r="M9" s="31" t="s">
        <v>23</v>
      </c>
      <c r="N9" s="3"/>
      <c r="O9" s="32">
        <f xml:space="preserve"> ROUND(((L12 / (4*L9)) / 1000000),4)</f>
        <v>1.423</v>
      </c>
      <c r="P9" s="32">
        <f xml:space="preserve"> ROUND((O9*3),3)</f>
        <v>4.2690000000000001</v>
      </c>
      <c r="Q9" s="32">
        <f xml:space="preserve"> ROUND((O9*5),3)</f>
        <v>7.1150000000000002</v>
      </c>
      <c r="R9" s="32">
        <f xml:space="preserve"> ROUND((O9*7),3)</f>
        <v>9.9610000000000003</v>
      </c>
      <c r="S9" s="32">
        <f xml:space="preserve"> ROUND((O9*9),3)</f>
        <v>12.807</v>
      </c>
      <c r="T9" s="32">
        <f xml:space="preserve"> ROUND((O9*11),3)</f>
        <v>15.653</v>
      </c>
      <c r="U9" s="32">
        <f xml:space="preserve"> ROUND((O9*13),3)</f>
        <v>18.498999999999999</v>
      </c>
      <c r="V9" s="32">
        <f xml:space="preserve"> ROUND((O9*15),3)</f>
        <v>21.344999999999999</v>
      </c>
      <c r="W9" s="32">
        <f xml:space="preserve"> ROUND((O9*17),3)</f>
        <v>24.190999999999999</v>
      </c>
      <c r="X9" s="32">
        <f xml:space="preserve"> ROUND((O9*19),3)</f>
        <v>27.036999999999999</v>
      </c>
      <c r="Y9" s="3"/>
    </row>
    <row r="10" spans="1:25" s="10" customFormat="1" ht="16.8" thickTop="1" thickBot="1" x14ac:dyDescent="0.35">
      <c r="A10" s="3"/>
      <c r="B10" s="11"/>
      <c r="C10" s="110" t="s">
        <v>24</v>
      </c>
      <c r="D10" s="111"/>
      <c r="E10" s="18">
        <v>79.38</v>
      </c>
      <c r="F10" s="19" t="s">
        <v>6</v>
      </c>
      <c r="G10" s="12"/>
      <c r="H10" s="3"/>
      <c r="I10" s="98" t="s">
        <v>25</v>
      </c>
      <c r="J10" s="98"/>
      <c r="K10" s="98"/>
      <c r="L10" s="33">
        <f>ROUND( (L5^0.5),8)</f>
        <v>2.0736441399999999</v>
      </c>
      <c r="M10" s="34"/>
      <c r="N10" s="35"/>
      <c r="O10" s="36"/>
      <c r="P10" s="36"/>
      <c r="Q10" s="36"/>
      <c r="R10" s="36"/>
      <c r="S10" s="36"/>
      <c r="T10" s="37"/>
      <c r="U10" s="37"/>
      <c r="V10" s="38"/>
      <c r="W10" s="36"/>
      <c r="X10" s="36"/>
      <c r="Y10" s="3"/>
    </row>
    <row r="11" spans="1:25" s="10" customFormat="1" ht="16.8" thickTop="1" thickBot="1" x14ac:dyDescent="0.35">
      <c r="A11" s="3"/>
      <c r="B11" s="11"/>
      <c r="C11" s="112" t="s">
        <v>44</v>
      </c>
      <c r="D11" s="112"/>
      <c r="E11" s="22">
        <f>ROUND(((E10*E6)^0.5),2)</f>
        <v>63</v>
      </c>
      <c r="F11" s="23" t="s">
        <v>6</v>
      </c>
      <c r="G11" s="12"/>
      <c r="H11" s="3"/>
      <c r="I11" s="98" t="s">
        <v>26</v>
      </c>
      <c r="J11" s="98"/>
      <c r="K11" s="98"/>
      <c r="L11" s="33">
        <f>ROUND( (1 / L10),8)</f>
        <v>0.48224282000000002</v>
      </c>
      <c r="M11" s="31" t="s">
        <v>27</v>
      </c>
      <c r="N11" s="3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10" customFormat="1" ht="17.100000000000001" thickTop="1" thickBot="1" x14ac:dyDescent="0.35">
      <c r="A12" s="3"/>
      <c r="B12" s="11"/>
      <c r="C12" s="28"/>
      <c r="D12" s="28"/>
      <c r="E12" s="28"/>
      <c r="F12" s="28"/>
      <c r="G12" s="29"/>
      <c r="H12" s="3"/>
      <c r="I12" s="98" t="s">
        <v>28</v>
      </c>
      <c r="J12" s="98"/>
      <c r="K12" s="98"/>
      <c r="L12" s="33">
        <f xml:space="preserve"> ROUND((299792458 * L11),2)</f>
        <v>144572760.36000001</v>
      </c>
      <c r="M12" s="31" t="s">
        <v>29</v>
      </c>
      <c r="N12" s="35"/>
      <c r="O12" s="84" t="s">
        <v>30</v>
      </c>
      <c r="P12" s="85"/>
      <c r="Q12" s="85"/>
      <c r="R12" s="85"/>
      <c r="S12" s="85"/>
      <c r="T12" s="85"/>
      <c r="U12" s="85"/>
      <c r="V12" s="85"/>
      <c r="W12" s="85"/>
      <c r="X12" s="86"/>
      <c r="Y12" s="3"/>
    </row>
    <row r="13" spans="1:25" s="45" customFormat="1" ht="17.100000000000001" thickTop="1" thickBot="1" x14ac:dyDescent="0.35">
      <c r="A13" s="39"/>
      <c r="B13" s="40"/>
      <c r="C13" s="41"/>
      <c r="D13" s="41"/>
      <c r="E13" s="41"/>
      <c r="F13" s="41"/>
      <c r="G13" s="42"/>
      <c r="H13" s="39"/>
      <c r="I13" s="43"/>
      <c r="J13" s="43"/>
      <c r="K13" s="43"/>
      <c r="L13" s="39"/>
      <c r="M13" s="39"/>
      <c r="N13" s="44"/>
      <c r="O13" s="87" t="s">
        <v>7</v>
      </c>
      <c r="P13" s="88"/>
      <c r="Q13" s="88"/>
      <c r="R13" s="88"/>
      <c r="S13" s="88"/>
      <c r="T13" s="88"/>
      <c r="U13" s="88"/>
      <c r="V13" s="88"/>
      <c r="W13" s="88"/>
      <c r="X13" s="89"/>
      <c r="Y13" s="39"/>
    </row>
    <row r="14" spans="1:25" s="45" customFormat="1" ht="17.100000000000001" thickTop="1" thickBot="1" x14ac:dyDescent="0.35">
      <c r="A14" s="39"/>
      <c r="B14" s="40"/>
      <c r="C14" s="37"/>
      <c r="D14" s="37"/>
      <c r="E14" s="37"/>
      <c r="F14" s="37"/>
      <c r="G14" s="12"/>
      <c r="H14" s="39"/>
      <c r="I14" s="108" t="s">
        <v>31</v>
      </c>
      <c r="J14" s="108"/>
      <c r="K14" s="109"/>
      <c r="L14" s="13">
        <v>1.575</v>
      </c>
      <c r="M14" s="14" t="s">
        <v>32</v>
      </c>
      <c r="N14" s="44"/>
      <c r="O14" s="21" t="s">
        <v>11</v>
      </c>
      <c r="P14" s="21" t="s">
        <v>12</v>
      </c>
      <c r="Q14" s="21" t="s">
        <v>33</v>
      </c>
      <c r="R14" s="21" t="s">
        <v>14</v>
      </c>
      <c r="S14" s="21" t="s">
        <v>15</v>
      </c>
      <c r="T14" s="21" t="s">
        <v>16</v>
      </c>
      <c r="U14" s="21" t="s">
        <v>17</v>
      </c>
      <c r="V14" s="21" t="s">
        <v>18</v>
      </c>
      <c r="W14" s="21" t="s">
        <v>19</v>
      </c>
      <c r="X14" s="21" t="s">
        <v>20</v>
      </c>
      <c r="Y14" s="39"/>
    </row>
    <row r="15" spans="1:25" ht="17.100000000000001" thickTop="1" thickBot="1" x14ac:dyDescent="0.35">
      <c r="A15" s="1"/>
      <c r="B15" s="46"/>
      <c r="C15" s="47"/>
      <c r="D15" s="47"/>
      <c r="E15" s="47"/>
      <c r="F15" s="47"/>
      <c r="G15" s="48"/>
      <c r="H15" s="1"/>
      <c r="I15" s="49"/>
      <c r="J15" s="49"/>
      <c r="K15" s="49"/>
      <c r="L15" s="1"/>
      <c r="M15" s="1"/>
      <c r="N15" s="37"/>
      <c r="O15" s="50"/>
      <c r="P15" s="51"/>
      <c r="Q15" s="51"/>
      <c r="R15" s="51"/>
      <c r="S15" s="51"/>
      <c r="T15" s="51"/>
      <c r="U15" s="51"/>
      <c r="V15" s="51"/>
      <c r="W15" s="51"/>
      <c r="X15" s="52"/>
      <c r="Y15" s="1"/>
    </row>
    <row r="16" spans="1:25" ht="17.100000000000001" thickTop="1" thickBot="1" x14ac:dyDescent="0.35">
      <c r="A16" s="1"/>
      <c r="B16" s="46"/>
      <c r="C16" s="47"/>
      <c r="D16" s="47"/>
      <c r="E16" s="47"/>
      <c r="F16" s="47"/>
      <c r="G16" s="48"/>
      <c r="H16" s="1"/>
      <c r="I16" s="98" t="s">
        <v>34</v>
      </c>
      <c r="J16" s="98"/>
      <c r="K16" s="98"/>
      <c r="L16" s="33">
        <f xml:space="preserve"> ROUND((L12/(L14*1000000)),4)</f>
        <v>91.792199999999994</v>
      </c>
      <c r="M16" s="31" t="s">
        <v>23</v>
      </c>
      <c r="N16" s="37"/>
      <c r="O16" s="32">
        <f>ROUND((39.37*(L12 / (4*L14))) / 1000000,2)</f>
        <v>903.47</v>
      </c>
      <c r="P16" s="32">
        <f>ROUND((O16*3),2)</f>
        <v>2710.41</v>
      </c>
      <c r="Q16" s="32">
        <f>ROUND((O16*5),2)</f>
        <v>4517.3500000000004</v>
      </c>
      <c r="R16" s="32">
        <f>ROUND((O16*7),2)</f>
        <v>6324.29</v>
      </c>
      <c r="S16" s="32">
        <f>ROUND((O16*9),2)</f>
        <v>8131.23</v>
      </c>
      <c r="T16" s="32">
        <f>ROUND((O16*11),2)</f>
        <v>9938.17</v>
      </c>
      <c r="U16" s="32">
        <f>ROUND((O16*13),2)</f>
        <v>11745.11</v>
      </c>
      <c r="V16" s="32">
        <f>ROUND((O16*15),2)</f>
        <v>13552.05</v>
      </c>
      <c r="W16" s="32">
        <f>ROUND((O16*17),2)</f>
        <v>15358.99</v>
      </c>
      <c r="X16" s="32">
        <f>ROUND((O16*19),2)</f>
        <v>17165.93</v>
      </c>
      <c r="Y16" s="1"/>
    </row>
    <row r="17" spans="1:25" ht="16.8" thickTop="1" thickBot="1" x14ac:dyDescent="0.35">
      <c r="A17" s="1"/>
      <c r="B17" s="46"/>
      <c r="C17" s="47"/>
      <c r="D17" s="47"/>
      <c r="E17" s="47"/>
      <c r="F17" s="47"/>
      <c r="G17" s="48"/>
      <c r="H17" s="1"/>
      <c r="I17" s="98" t="s">
        <v>35</v>
      </c>
      <c r="J17" s="98"/>
      <c r="K17" s="98"/>
      <c r="L17" s="33">
        <f xml:space="preserve"> ROUND((L9/L16),4)</f>
        <v>0.2767</v>
      </c>
      <c r="M17" s="53" t="s">
        <v>36</v>
      </c>
      <c r="N17" s="37"/>
      <c r="O17" s="32">
        <f>ROUND((L12 / (4*L14)) / 1000000,2)</f>
        <v>22.95</v>
      </c>
      <c r="P17" s="32">
        <f>ROUND((P16/39.37),2)</f>
        <v>68.84</v>
      </c>
      <c r="Q17" s="32">
        <f>ROUND((Q16/39.37),2)</f>
        <v>114.74</v>
      </c>
      <c r="R17" s="32">
        <f t="shared" ref="R17:X17" si="0">ROUND((R16/39.37),2)</f>
        <v>160.63999999999999</v>
      </c>
      <c r="S17" s="32">
        <f t="shared" si="0"/>
        <v>206.53</v>
      </c>
      <c r="T17" s="32">
        <f t="shared" si="0"/>
        <v>252.43</v>
      </c>
      <c r="U17" s="32">
        <f t="shared" si="0"/>
        <v>298.33</v>
      </c>
      <c r="V17" s="32">
        <f t="shared" si="0"/>
        <v>344.22</v>
      </c>
      <c r="W17" s="32">
        <f t="shared" si="0"/>
        <v>390.12</v>
      </c>
      <c r="X17" s="32">
        <f t="shared" si="0"/>
        <v>436.02</v>
      </c>
      <c r="Y17" s="1"/>
    </row>
    <row r="18" spans="1:25" ht="17.100000000000001" thickTop="1" thickBot="1" x14ac:dyDescent="0.35">
      <c r="A18" s="1"/>
      <c r="B18" s="54"/>
      <c r="C18" s="55"/>
      <c r="D18" s="55"/>
      <c r="E18" s="55"/>
      <c r="F18" s="55"/>
      <c r="G18" s="56"/>
      <c r="H18" s="1"/>
      <c r="I18" s="1"/>
      <c r="J18" s="1"/>
      <c r="K18" s="1"/>
      <c r="L18" s="1"/>
      <c r="M18" s="1"/>
      <c r="N18" s="3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7.100000000000001" thickTop="1" thickBot="1" x14ac:dyDescent="0.35">
      <c r="A19" s="1"/>
      <c r="B19" s="1"/>
      <c r="C19" s="35"/>
      <c r="D19" s="35"/>
      <c r="E19" s="2"/>
      <c r="F19" s="1"/>
      <c r="G19" s="1"/>
      <c r="H19" s="1"/>
      <c r="I19" s="1"/>
      <c r="J19" s="1"/>
      <c r="K19" s="1"/>
      <c r="L19" s="1"/>
      <c r="M19" s="1"/>
      <c r="N19" s="3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7.100000000000001" thickTop="1" thickBot="1" x14ac:dyDescent="0.35">
      <c r="A20" s="1"/>
      <c r="B20" s="1"/>
      <c r="C20" s="35"/>
      <c r="D20" s="35"/>
      <c r="E20" s="2"/>
      <c r="F20" s="1"/>
      <c r="G20" s="1"/>
      <c r="H20" s="1"/>
      <c r="I20" s="1"/>
      <c r="J20" s="1"/>
      <c r="K20" s="1"/>
      <c r="L20" s="1"/>
      <c r="M20" s="1"/>
      <c r="N20" s="37"/>
      <c r="O20" s="99" t="s">
        <v>37</v>
      </c>
      <c r="P20" s="100"/>
      <c r="Q20" s="100"/>
      <c r="R20" s="100"/>
      <c r="S20" s="100"/>
      <c r="T20" s="100"/>
      <c r="U20" s="100"/>
      <c r="V20" s="100"/>
      <c r="W20" s="100"/>
      <c r="X20" s="101"/>
      <c r="Y20" s="1"/>
    </row>
    <row r="21" spans="1:25" ht="17.100000000000001" thickTop="1" thickBot="1" x14ac:dyDescent="0.35">
      <c r="A21" s="1"/>
      <c r="B21" s="1"/>
      <c r="C21" s="57"/>
      <c r="D21" s="57"/>
      <c r="E21" s="57"/>
      <c r="F21" s="1"/>
      <c r="G21" s="1"/>
      <c r="H21" s="1"/>
      <c r="I21" s="1"/>
      <c r="J21" s="1"/>
      <c r="K21" s="1"/>
      <c r="L21" s="1"/>
      <c r="M21" s="1"/>
      <c r="N21" s="37"/>
      <c r="O21" s="102" t="s">
        <v>38</v>
      </c>
      <c r="P21" s="103"/>
      <c r="Q21" s="103"/>
      <c r="R21" s="103"/>
      <c r="S21" s="103"/>
      <c r="T21" s="103"/>
      <c r="U21" s="103"/>
      <c r="V21" s="103"/>
      <c r="W21" s="103"/>
      <c r="X21" s="104"/>
      <c r="Y21" s="1"/>
    </row>
    <row r="22" spans="1:25" ht="17.100000000000001" thickTop="1" thickBot="1" x14ac:dyDescent="0.35">
      <c r="A22" s="1"/>
      <c r="B22" s="1"/>
      <c r="C22" s="1"/>
      <c r="D22" s="1"/>
      <c r="E22" s="2"/>
      <c r="F22" s="1"/>
      <c r="G22" s="1"/>
      <c r="H22" s="1"/>
      <c r="I22" s="1"/>
      <c r="J22" s="1"/>
      <c r="K22" s="1"/>
      <c r="L22" s="1"/>
      <c r="M22" s="1"/>
      <c r="N22" s="37"/>
      <c r="O22" s="58" t="s">
        <v>11</v>
      </c>
      <c r="P22" s="59" t="s">
        <v>12</v>
      </c>
      <c r="Q22" s="59" t="s">
        <v>33</v>
      </c>
      <c r="R22" s="59" t="s">
        <v>14</v>
      </c>
      <c r="S22" s="59" t="s">
        <v>15</v>
      </c>
      <c r="T22" s="59" t="s">
        <v>16</v>
      </c>
      <c r="U22" s="59" t="s">
        <v>17</v>
      </c>
      <c r="V22" s="59" t="s">
        <v>18</v>
      </c>
      <c r="W22" s="59" t="s">
        <v>19</v>
      </c>
      <c r="X22" s="60" t="s">
        <v>20</v>
      </c>
      <c r="Y22" s="1"/>
    </row>
    <row r="23" spans="1:25" ht="17.100000000000001" thickTop="1" thickBot="1" x14ac:dyDescent="0.35">
      <c r="A23" s="1"/>
      <c r="B23" s="1"/>
      <c r="C23" s="57"/>
      <c r="D23" s="57"/>
      <c r="E23" s="57"/>
      <c r="F23" s="1"/>
      <c r="G23" s="1"/>
      <c r="H23" s="1"/>
      <c r="I23" s="1"/>
      <c r="J23" s="1"/>
      <c r="K23" s="1"/>
      <c r="L23" s="1"/>
      <c r="M23" s="1"/>
      <c r="N23" s="38"/>
      <c r="O23" s="61"/>
      <c r="P23" s="62"/>
      <c r="Q23" s="62"/>
      <c r="R23" s="62"/>
      <c r="S23" s="62"/>
      <c r="T23" s="62"/>
      <c r="U23" s="62"/>
      <c r="V23" s="62"/>
      <c r="W23" s="62"/>
      <c r="X23" s="63"/>
      <c r="Y23" s="1"/>
    </row>
    <row r="24" spans="1:25" ht="17.100000000000001" thickTop="1" thickBot="1" x14ac:dyDescent="0.35">
      <c r="A24" s="1"/>
      <c r="B24" s="1"/>
      <c r="C24" s="57"/>
      <c r="D24" s="57"/>
      <c r="E24" s="57"/>
      <c r="F24" s="1"/>
      <c r="G24" s="1"/>
      <c r="H24" s="1"/>
      <c r="I24" s="1"/>
      <c r="J24" s="1"/>
      <c r="K24" s="1"/>
      <c r="L24" s="1"/>
      <c r="M24" s="1"/>
      <c r="N24" s="38"/>
      <c r="O24" s="64">
        <f>ROUND((O9*2),3)</f>
        <v>2.8460000000000001</v>
      </c>
      <c r="P24" s="65">
        <f>ROUND((O9*4),3)</f>
        <v>5.6920000000000002</v>
      </c>
      <c r="Q24" s="65">
        <f>ROUND((O9*6),3)</f>
        <v>8.5380000000000003</v>
      </c>
      <c r="R24" s="65">
        <f>ROUND((O9*8),3)</f>
        <v>11.384</v>
      </c>
      <c r="S24" s="65">
        <f>ROUND((O9*10),3)</f>
        <v>14.23</v>
      </c>
      <c r="T24" s="65">
        <f>ROUND((O9*12),3)</f>
        <v>17.076000000000001</v>
      </c>
      <c r="U24" s="65">
        <f>ROUND((O9*14),3)</f>
        <v>19.922000000000001</v>
      </c>
      <c r="V24" s="65">
        <f>ROUND((O9*16),3)</f>
        <v>22.768000000000001</v>
      </c>
      <c r="W24" s="65">
        <f>ROUND((O9*18),3)</f>
        <v>25.614000000000001</v>
      </c>
      <c r="X24" s="66">
        <f>ROUND((O9*20),3)</f>
        <v>28.46</v>
      </c>
      <c r="Y24" s="1"/>
    </row>
    <row r="25" spans="1:25" ht="16.350000000000001" thickTop="1" x14ac:dyDescent="0.3">
      <c r="A25" s="1"/>
      <c r="B25" s="1"/>
      <c r="C25" s="57"/>
      <c r="D25" s="57"/>
      <c r="E25" s="57"/>
      <c r="F25" s="1"/>
      <c r="G25" s="1"/>
      <c r="H25" s="1"/>
      <c r="I25" s="1"/>
      <c r="J25" s="1"/>
      <c r="K25" s="1"/>
      <c r="L25" s="1"/>
      <c r="M25" s="1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</row>
    <row r="26" spans="1:25" ht="16.350000000000001" thickBot="1" x14ac:dyDescent="0.35">
      <c r="A26" s="1"/>
      <c r="B26" s="1"/>
      <c r="C26" s="57"/>
      <c r="D26" s="57"/>
      <c r="E26" s="57"/>
      <c r="F26" s="1"/>
      <c r="G26" s="1"/>
      <c r="H26" s="1"/>
      <c r="I26" s="1"/>
      <c r="J26" s="1"/>
      <c r="K26" s="1"/>
      <c r="L26" s="1"/>
      <c r="M26" s="1"/>
      <c r="N26" s="38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7.100000000000001" thickTop="1" thickBot="1" x14ac:dyDescent="0.35">
      <c r="A27" s="1"/>
      <c r="B27" s="1"/>
      <c r="C27" s="57"/>
      <c r="D27" s="57"/>
      <c r="E27" s="57"/>
      <c r="F27" s="1"/>
      <c r="G27" s="1"/>
      <c r="H27" s="1"/>
      <c r="I27" s="1"/>
      <c r="J27" s="1"/>
      <c r="K27" s="1"/>
      <c r="L27" s="1"/>
      <c r="M27" s="1"/>
      <c r="N27" s="38"/>
      <c r="O27" s="84" t="s">
        <v>39</v>
      </c>
      <c r="P27" s="85"/>
      <c r="Q27" s="85"/>
      <c r="R27" s="85"/>
      <c r="S27" s="85"/>
      <c r="T27" s="85"/>
      <c r="U27" s="85"/>
      <c r="V27" s="85"/>
      <c r="W27" s="85"/>
      <c r="X27" s="86"/>
      <c r="Y27" s="1"/>
    </row>
    <row r="28" spans="1:25" ht="17.100000000000001" thickTop="1" thickBot="1" x14ac:dyDescent="0.35">
      <c r="A28" s="1"/>
      <c r="B28" s="1"/>
      <c r="C28" s="57"/>
      <c r="D28" s="57"/>
      <c r="E28" s="57"/>
      <c r="F28" s="1"/>
      <c r="G28" s="1"/>
      <c r="H28" s="1"/>
      <c r="I28" s="1"/>
      <c r="J28" s="1"/>
      <c r="K28" s="1"/>
      <c r="L28" s="1"/>
      <c r="M28" s="1"/>
      <c r="N28" s="38"/>
      <c r="O28" s="105" t="s">
        <v>38</v>
      </c>
      <c r="P28" s="106"/>
      <c r="Q28" s="106"/>
      <c r="R28" s="106"/>
      <c r="S28" s="106"/>
      <c r="T28" s="106"/>
      <c r="U28" s="106"/>
      <c r="V28" s="106"/>
      <c r="W28" s="106"/>
      <c r="X28" s="107"/>
      <c r="Y28" s="1"/>
    </row>
    <row r="29" spans="1:25" ht="17.100000000000001" thickTop="1" thickBot="1" x14ac:dyDescent="0.35">
      <c r="A29" s="1"/>
      <c r="B29" s="1"/>
      <c r="C29" s="57"/>
      <c r="D29" s="57"/>
      <c r="E29" s="57"/>
      <c r="F29" s="1"/>
      <c r="G29" s="1"/>
      <c r="H29" s="1"/>
      <c r="I29" s="1"/>
      <c r="J29" s="1"/>
      <c r="K29" s="1"/>
      <c r="L29" s="1"/>
      <c r="M29" s="1"/>
      <c r="N29" s="38"/>
      <c r="O29" s="59" t="s">
        <v>11</v>
      </c>
      <c r="P29" s="59" t="s">
        <v>12</v>
      </c>
      <c r="Q29" s="59" t="s">
        <v>33</v>
      </c>
      <c r="R29" s="59" t="s">
        <v>14</v>
      </c>
      <c r="S29" s="59" t="s">
        <v>15</v>
      </c>
      <c r="T29" s="59" t="s">
        <v>16</v>
      </c>
      <c r="U29" s="59" t="s">
        <v>17</v>
      </c>
      <c r="V29" s="59" t="s">
        <v>18</v>
      </c>
      <c r="W29" s="59" t="s">
        <v>19</v>
      </c>
      <c r="X29" s="59" t="s">
        <v>20</v>
      </c>
      <c r="Y29" s="1"/>
    </row>
    <row r="30" spans="1:25" ht="17.100000000000001" thickTop="1" thickBot="1" x14ac:dyDescent="0.35">
      <c r="A30" s="1"/>
      <c r="B30" s="1"/>
      <c r="C30" s="57"/>
      <c r="D30" s="57"/>
      <c r="E30" s="57"/>
      <c r="F30" s="1"/>
      <c r="G30" s="1"/>
      <c r="H30" s="1"/>
      <c r="I30" s="1"/>
      <c r="J30" s="1"/>
      <c r="K30" s="1"/>
      <c r="L30" s="1"/>
      <c r="M30" s="1"/>
      <c r="N30" s="38"/>
      <c r="O30" s="67"/>
      <c r="P30" s="68"/>
      <c r="Q30" s="68"/>
      <c r="R30" s="68"/>
      <c r="S30" s="68"/>
      <c r="T30" s="68"/>
      <c r="U30" s="68"/>
      <c r="V30" s="68"/>
      <c r="W30" s="68"/>
      <c r="X30" s="69"/>
      <c r="Y30" s="1"/>
    </row>
    <row r="31" spans="1:25" ht="17.100000000000001" thickTop="1" thickBot="1" x14ac:dyDescent="0.35">
      <c r="A31" s="1"/>
      <c r="B31" s="1"/>
      <c r="C31" s="1"/>
      <c r="D31" s="1"/>
      <c r="E31" s="2"/>
      <c r="F31" s="1"/>
      <c r="G31" s="1"/>
      <c r="H31" s="1"/>
      <c r="I31" s="1"/>
      <c r="J31" s="1"/>
      <c r="K31" s="1"/>
      <c r="L31" s="1"/>
      <c r="M31" s="1"/>
      <c r="N31" s="1"/>
      <c r="O31" s="70">
        <f>ROUND(39.37*((L12 / (2*L14))) / 1000000,2)</f>
        <v>1806.93</v>
      </c>
      <c r="P31" s="70">
        <f>ROUND((O31*2),3)</f>
        <v>3613.86</v>
      </c>
      <c r="Q31" s="70">
        <f t="shared" ref="Q31:X32" si="1">ROUND((P31*2),3)</f>
        <v>7227.72</v>
      </c>
      <c r="R31" s="70">
        <f t="shared" si="1"/>
        <v>14455.44</v>
      </c>
      <c r="S31" s="70">
        <f t="shared" si="1"/>
        <v>28910.880000000001</v>
      </c>
      <c r="T31" s="70">
        <f t="shared" si="1"/>
        <v>57821.760000000002</v>
      </c>
      <c r="U31" s="70">
        <f t="shared" si="1"/>
        <v>115643.52</v>
      </c>
      <c r="V31" s="70">
        <f t="shared" si="1"/>
        <v>231287.04000000001</v>
      </c>
      <c r="W31" s="70">
        <f t="shared" si="1"/>
        <v>462574.08000000002</v>
      </c>
      <c r="X31" s="70">
        <f t="shared" si="1"/>
        <v>925148.16000000003</v>
      </c>
      <c r="Y31" s="1"/>
    </row>
    <row r="32" spans="1:25" ht="17.100000000000001" thickTop="1" thickBot="1" x14ac:dyDescent="0.35">
      <c r="A32" s="1"/>
      <c r="B32" s="1"/>
      <c r="C32" s="1"/>
      <c r="D32" s="1"/>
      <c r="E32" s="2"/>
      <c r="F32" s="1"/>
      <c r="G32" s="1"/>
      <c r="H32" s="1"/>
      <c r="I32" s="1"/>
      <c r="J32" s="1"/>
      <c r="K32" s="1"/>
      <c r="L32" s="1"/>
      <c r="M32" s="1"/>
      <c r="N32" s="1"/>
      <c r="O32" s="70">
        <f>ROUND((L12 / (2*L14)) / 1000000,2)</f>
        <v>45.9</v>
      </c>
      <c r="P32" s="70">
        <f>ROUND((O32*2),3)</f>
        <v>91.8</v>
      </c>
      <c r="Q32" s="70">
        <f t="shared" si="1"/>
        <v>183.6</v>
      </c>
      <c r="R32" s="70">
        <f t="shared" si="1"/>
        <v>367.2</v>
      </c>
      <c r="S32" s="70">
        <f t="shared" si="1"/>
        <v>734.4</v>
      </c>
      <c r="T32" s="70">
        <f t="shared" si="1"/>
        <v>1468.8</v>
      </c>
      <c r="U32" s="70">
        <f t="shared" si="1"/>
        <v>2937.6</v>
      </c>
      <c r="V32" s="70">
        <f t="shared" si="1"/>
        <v>5875.2</v>
      </c>
      <c r="W32" s="70">
        <f t="shared" si="1"/>
        <v>11750.4</v>
      </c>
      <c r="X32" s="70">
        <f t="shared" si="1"/>
        <v>23500.799999999999</v>
      </c>
      <c r="Y32" s="1"/>
    </row>
    <row r="33" spans="1:25" ht="15" thickTop="1" x14ac:dyDescent="0.3">
      <c r="A33" s="1"/>
      <c r="B33" s="71"/>
      <c r="C33" s="71"/>
      <c r="D33" s="71"/>
      <c r="E33" s="72"/>
      <c r="F33" s="71"/>
      <c r="G33" s="71"/>
      <c r="H33" s="71"/>
      <c r="I33" s="71"/>
      <c r="J33" s="71"/>
      <c r="K33" s="71"/>
      <c r="L33" s="71"/>
      <c r="M33" s="7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6.2" thickBot="1" x14ac:dyDescent="0.35">
      <c r="A34" s="1"/>
      <c r="B34" s="71"/>
      <c r="C34" s="73"/>
      <c r="D34" s="74"/>
      <c r="E34" s="75"/>
      <c r="F34" s="71"/>
      <c r="G34" s="71"/>
      <c r="H34" s="71"/>
      <c r="I34" s="71"/>
      <c r="J34" s="71"/>
      <c r="K34" s="71"/>
      <c r="L34" s="71"/>
      <c r="M34" s="7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6.8" thickTop="1" thickBot="1" x14ac:dyDescent="0.35">
      <c r="A35" s="1"/>
      <c r="B35" s="71"/>
      <c r="C35" s="71"/>
      <c r="D35" s="71"/>
      <c r="E35" s="72"/>
      <c r="F35" s="71"/>
      <c r="G35" s="71"/>
      <c r="H35" s="71"/>
      <c r="I35" s="71"/>
      <c r="J35" s="71"/>
      <c r="K35" s="71"/>
      <c r="L35" s="71"/>
      <c r="M35" s="71"/>
      <c r="N35" s="1"/>
      <c r="O35" s="90" t="s">
        <v>40</v>
      </c>
      <c r="P35" s="91"/>
      <c r="Q35" s="92"/>
      <c r="R35" s="93"/>
      <c r="S35" s="1"/>
      <c r="T35" s="1"/>
      <c r="U35" s="1"/>
      <c r="V35" s="1"/>
      <c r="W35" s="1"/>
      <c r="X35" s="1"/>
      <c r="Y35" s="1"/>
    </row>
    <row r="36" spans="1:25" ht="16.8" thickTop="1" thickBot="1" x14ac:dyDescent="0.35">
      <c r="A36" s="1"/>
      <c r="B36" s="71"/>
      <c r="C36" s="71"/>
      <c r="D36" s="71"/>
      <c r="E36" s="72"/>
      <c r="F36" s="71"/>
      <c r="G36" s="71"/>
      <c r="H36" s="71"/>
      <c r="I36" s="71"/>
      <c r="J36" s="71"/>
      <c r="K36" s="71"/>
      <c r="L36" s="71"/>
      <c r="M36" s="71"/>
      <c r="N36" s="1"/>
      <c r="O36" s="76" t="s">
        <v>41</v>
      </c>
      <c r="P36" s="77">
        <v>640</v>
      </c>
      <c r="Q36" s="78">
        <f>ROUND((P36/39.3700787),4)</f>
        <v>16.256</v>
      </c>
      <c r="R36" s="23" t="s">
        <v>23</v>
      </c>
      <c r="S36" s="1"/>
      <c r="T36" s="1"/>
      <c r="U36" s="1"/>
      <c r="V36" s="1"/>
      <c r="W36" s="1"/>
      <c r="X36" s="1"/>
      <c r="Y36" s="1"/>
    </row>
    <row r="37" spans="1:25" ht="16.8" thickTop="1" thickBot="1" x14ac:dyDescent="0.35">
      <c r="A37" s="1"/>
      <c r="B37" s="71"/>
      <c r="C37" s="71"/>
      <c r="D37" s="71"/>
      <c r="E37" s="72"/>
      <c r="F37" s="71"/>
      <c r="G37" s="71"/>
      <c r="H37" s="71"/>
      <c r="I37" s="71"/>
      <c r="J37" s="71"/>
      <c r="K37" s="71"/>
      <c r="L37" s="71"/>
      <c r="M37" s="71"/>
      <c r="N37" s="1"/>
      <c r="O37" s="76" t="s">
        <v>42</v>
      </c>
      <c r="P37" s="77">
        <v>5.05</v>
      </c>
      <c r="Q37" s="78">
        <f>ROUND((P37*39.3700787),2)</f>
        <v>198.82</v>
      </c>
      <c r="R37" s="23" t="s">
        <v>10</v>
      </c>
      <c r="S37" s="1"/>
      <c r="T37" s="1"/>
      <c r="U37" s="1"/>
      <c r="V37" s="94"/>
      <c r="W37" s="94"/>
      <c r="X37" s="94"/>
      <c r="Y37" s="1"/>
    </row>
    <row r="38" spans="1:25" ht="15" thickTop="1" x14ac:dyDescent="0.3">
      <c r="A38" s="1"/>
      <c r="B38" s="71"/>
      <c r="C38" s="71"/>
      <c r="D38" s="71"/>
      <c r="E38" s="72"/>
      <c r="F38" s="71"/>
      <c r="G38" s="71"/>
      <c r="H38" s="71"/>
      <c r="I38" s="71"/>
      <c r="J38" s="71"/>
      <c r="K38" s="71"/>
      <c r="L38" s="71"/>
      <c r="M38" s="7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" thickBo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6" thickTop="1" thickBot="1" x14ac:dyDescent="0.35">
      <c r="A40" s="1"/>
      <c r="B40" s="95" t="s">
        <v>43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7"/>
      <c r="Y40" s="1"/>
    </row>
    <row r="41" spans="1:25" ht="16.2" thickTop="1" x14ac:dyDescent="0.3">
      <c r="A41" s="1"/>
      <c r="B41" s="71"/>
      <c r="C41" s="73"/>
      <c r="D41" s="73"/>
      <c r="E41" s="75"/>
      <c r="F41" s="71"/>
      <c r="G41" s="71"/>
      <c r="H41" s="71"/>
      <c r="I41" s="71"/>
      <c r="J41" s="71"/>
      <c r="K41" s="71"/>
      <c r="L41" s="71"/>
      <c r="M41" s="7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6" x14ac:dyDescent="0.3">
      <c r="B42" s="79"/>
      <c r="C42" s="80"/>
      <c r="D42" s="80"/>
      <c r="E42" s="81"/>
      <c r="F42" s="79"/>
      <c r="G42" s="79"/>
      <c r="H42" s="79"/>
      <c r="I42" s="79"/>
      <c r="J42" s="79"/>
      <c r="K42" s="79"/>
      <c r="L42" s="79"/>
      <c r="M42" s="79"/>
    </row>
    <row r="43" spans="1:25" ht="15.6" x14ac:dyDescent="0.3">
      <c r="B43" s="79"/>
      <c r="C43" s="80"/>
      <c r="D43" s="80"/>
      <c r="E43" s="81"/>
      <c r="F43" s="79"/>
      <c r="G43" s="79"/>
      <c r="H43" s="79"/>
      <c r="I43" s="79"/>
      <c r="J43" s="79"/>
      <c r="K43" s="79"/>
      <c r="L43" s="79"/>
      <c r="M43" s="79"/>
    </row>
    <row r="44" spans="1:25" ht="15.6" x14ac:dyDescent="0.3">
      <c r="B44" s="79"/>
      <c r="C44" s="80"/>
      <c r="D44" s="80"/>
      <c r="E44" s="81"/>
      <c r="F44" s="79"/>
      <c r="G44" s="79"/>
      <c r="H44" s="79"/>
      <c r="I44" s="79"/>
      <c r="J44" s="79"/>
      <c r="K44" s="79"/>
      <c r="L44" s="79"/>
      <c r="M44" s="79"/>
    </row>
    <row r="45" spans="1:25" ht="15.6" x14ac:dyDescent="0.3">
      <c r="B45" s="79"/>
      <c r="C45" s="80"/>
      <c r="D45" s="80"/>
      <c r="E45" s="81"/>
      <c r="F45" s="79"/>
      <c r="G45" s="79"/>
      <c r="H45" s="79"/>
      <c r="I45" s="79"/>
      <c r="J45" s="79"/>
      <c r="K45" s="79"/>
      <c r="L45" s="79"/>
      <c r="M45" s="79"/>
    </row>
    <row r="46" spans="1:25" x14ac:dyDescent="0.3">
      <c r="B46" s="79"/>
      <c r="C46" s="79"/>
      <c r="D46" s="79"/>
      <c r="E46" s="82"/>
      <c r="F46" s="79"/>
      <c r="G46" s="79"/>
      <c r="H46" s="79"/>
      <c r="I46" s="79"/>
      <c r="J46" s="79"/>
      <c r="K46" s="79"/>
      <c r="L46" s="79"/>
      <c r="M46" s="79"/>
    </row>
    <row r="47" spans="1:25" x14ac:dyDescent="0.3">
      <c r="B47" s="79"/>
      <c r="C47" s="79"/>
      <c r="D47" s="79"/>
      <c r="E47" s="82"/>
      <c r="F47" s="79"/>
      <c r="G47" s="79"/>
      <c r="H47" s="79"/>
      <c r="I47" s="79"/>
      <c r="J47" s="79"/>
      <c r="K47" s="79"/>
      <c r="L47" s="79"/>
      <c r="M47" s="79"/>
    </row>
    <row r="48" spans="1:25" x14ac:dyDescent="0.3">
      <c r="B48" s="79"/>
      <c r="C48" s="79"/>
      <c r="D48" s="79"/>
      <c r="E48" s="82"/>
      <c r="F48" s="79"/>
      <c r="G48" s="79"/>
      <c r="H48" s="79"/>
      <c r="I48" s="79"/>
      <c r="J48" s="79"/>
      <c r="K48" s="79"/>
      <c r="L48" s="79"/>
      <c r="M48" s="79"/>
    </row>
  </sheetData>
  <sheetProtection password="DCAF" sheet="1" objects="1" scenarios="1"/>
  <mergeCells count="27">
    <mergeCell ref="C11:D11"/>
    <mergeCell ref="I11:K11"/>
    <mergeCell ref="I12:K12"/>
    <mergeCell ref="B2:X3"/>
    <mergeCell ref="C5:F5"/>
    <mergeCell ref="I5:K5"/>
    <mergeCell ref="O5:X5"/>
    <mergeCell ref="C6:D6"/>
    <mergeCell ref="O6:X6"/>
    <mergeCell ref="C7:D7"/>
    <mergeCell ref="I7:K7"/>
    <mergeCell ref="C8:D8"/>
    <mergeCell ref="I9:K9"/>
    <mergeCell ref="C10:D10"/>
    <mergeCell ref="I10:K10"/>
    <mergeCell ref="O12:X12"/>
    <mergeCell ref="O13:X13"/>
    <mergeCell ref="O35:R35"/>
    <mergeCell ref="V37:X37"/>
    <mergeCell ref="B40:X40"/>
    <mergeCell ref="I16:K16"/>
    <mergeCell ref="I17:K17"/>
    <mergeCell ref="O20:X20"/>
    <mergeCell ref="O21:X21"/>
    <mergeCell ref="O27:X27"/>
    <mergeCell ref="O28:X28"/>
    <mergeCell ref="I14:K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Quarter-wave calculator</vt:lpstr>
    </vt:vector>
  </TitlesOfParts>
  <Company>DeLorme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Lapayev</dc:creator>
  <cp:lastModifiedBy>Helpdesk</cp:lastModifiedBy>
  <dcterms:created xsi:type="dcterms:W3CDTF">2013-05-20T17:30:41Z</dcterms:created>
  <dcterms:modified xsi:type="dcterms:W3CDTF">2017-03-07T18:45:12Z</dcterms:modified>
</cp:coreProperties>
</file>